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uronextfra-my.sharepoint.com/personal/chuguet_euronext_com/Documents/Bureau/CAROLE/CA_Doc/Listing_Fees_2025/"/>
    </mc:Choice>
  </mc:AlternateContent>
  <xr:revisionPtr revIDLastSave="25" documentId="8_{FC4C3F99-0AD4-4273-863F-BB0E9E0BBA87}" xr6:coauthVersionLast="47" xr6:coauthVersionMax="47" xr10:uidLastSave="{2F1B623A-4183-4B93-B1FB-2E58DD04A23A}"/>
  <bookViews>
    <workbookView xWindow="-120" yWindow="-120" windowWidth="29040" windowHeight="15840" tabRatio="710" xr2:uid="{00000000-000D-0000-FFFF-FFFF00000000}"/>
  </bookViews>
  <sheets>
    <sheet name="Bonds Listing Fee Pricer" sheetId="14" r:id="rId1"/>
    <sheet name="BONDS - Listing fees" sheetId="6" state="hidden" r:id="rId2"/>
    <sheet name="IPO - Fees" sheetId="12" state="hidden" r:id="rId3"/>
    <sheet name="Assimilation" sheetId="13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4" l="1"/>
  <c r="C11" i="14" s="1"/>
  <c r="K6" i="14" l="1"/>
  <c r="C16" i="14" l="1"/>
  <c r="G19" i="14" l="1"/>
  <c r="C23" i="6"/>
  <c r="C21" i="6"/>
  <c r="I15" i="14" l="1"/>
  <c r="I10" i="14"/>
  <c r="I14" i="14"/>
  <c r="I11" i="14"/>
  <c r="I12" i="14"/>
  <c r="C17" i="14" s="1"/>
  <c r="C18" i="14" s="1"/>
  <c r="I13" i="14"/>
  <c r="G20" i="14" s="1"/>
  <c r="C12" i="14" s="1"/>
  <c r="C13" i="14" s="1"/>
  <c r="C18" i="6"/>
  <c r="C22" i="6" l="1"/>
  <c r="C30" i="6" l="1"/>
  <c r="C34" i="6" l="1"/>
  <c r="C16" i="6"/>
  <c r="C20" i="6"/>
  <c r="C19" i="6"/>
  <c r="C17" i="6"/>
  <c r="C31" i="6"/>
  <c r="C33" i="6"/>
  <c r="C35" i="6" l="1"/>
  <c r="C36" i="6" s="1"/>
  <c r="B7" i="12" l="1"/>
  <c r="B15" i="12" l="1"/>
  <c r="C15" i="12" s="1"/>
  <c r="B14" i="12"/>
  <c r="C14" i="12" s="1"/>
  <c r="B13" i="12"/>
  <c r="C13" i="12" s="1"/>
  <c r="B11" i="12"/>
  <c r="C11" i="12" s="1"/>
  <c r="B12" i="12"/>
  <c r="C12" i="12" s="1"/>
  <c r="L33" i="6" l="1"/>
  <c r="A1" i="13" l="1"/>
  <c r="A2" i="13" s="1"/>
  <c r="A3" i="13" s="1"/>
  <c r="A4" i="13" s="1"/>
  <c r="A5" i="13" s="1"/>
  <c r="A6" i="13" s="1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E9" i="13" s="1"/>
  <c r="L30" i="6" l="1"/>
  <c r="C32" i="6"/>
  <c r="L32" i="6" s="1"/>
  <c r="L31" i="6" l="1"/>
  <c r="B17" i="12"/>
  <c r="C17" i="12" s="1"/>
  <c r="B16" i="12"/>
  <c r="C16" i="12" s="1"/>
  <c r="B8" i="12" l="1"/>
  <c r="L34" i="6"/>
  <c r="L36" i="6" l="1"/>
  <c r="L35" i="6"/>
</calcChain>
</file>

<file path=xl/sharedStrings.xml><?xml version="1.0" encoding="utf-8"?>
<sst xmlns="http://schemas.openxmlformats.org/spreadsheetml/2006/main" count="78" uniqueCount="65">
  <si>
    <t>Montant émis</t>
  </si>
  <si>
    <t>Total</t>
  </si>
  <si>
    <t>Programme EMTN</t>
  </si>
  <si>
    <t>Oui</t>
  </si>
  <si>
    <t>Non</t>
  </si>
  <si>
    <t>Montant émis en EUR</t>
  </si>
  <si>
    <t>Année d'admission</t>
  </si>
  <si>
    <t>Année de maturité</t>
  </si>
  <si>
    <t>Nb tranche de 25 M€</t>
  </si>
  <si>
    <t>Commission fixe</t>
  </si>
  <si>
    <t>Nb années</t>
  </si>
  <si>
    <t>Commission variable</t>
  </si>
  <si>
    <t>Année maturité</t>
  </si>
  <si>
    <t>Nombre d'actions émises</t>
  </si>
  <si>
    <t xml:space="preserve">prix d'emission </t>
  </si>
  <si>
    <t>Total HT</t>
  </si>
  <si>
    <t>Nombre d'années</t>
  </si>
  <si>
    <t>Maturity year</t>
  </si>
  <si>
    <t>Fixed fees</t>
  </si>
  <si>
    <t>Applicable Com. Other issues</t>
  </si>
  <si>
    <t>Variable commission</t>
  </si>
  <si>
    <t>Com. applicable émissions complémentaires</t>
  </si>
  <si>
    <t>Amount issued</t>
  </si>
  <si>
    <t>Estimation des frais de cotation pour une émission obligataire Stand Alone</t>
  </si>
  <si>
    <t>Listing date</t>
  </si>
  <si>
    <t>Assimilation date</t>
  </si>
  <si>
    <t>Estimation des frais de cotation pour une émission obligataire sous programme</t>
  </si>
  <si>
    <t>Estimation of listing fees to be paid for a listing of bonds under programme</t>
  </si>
  <si>
    <t>FEES IPO</t>
  </si>
  <si>
    <t>Number of years</t>
  </si>
  <si>
    <t>Feuille de calcul relative aux admissions d'obligations</t>
  </si>
  <si>
    <t>Feuille de calcul relative aux IPO</t>
  </si>
  <si>
    <t>Montant inférieur ou égal à 50 000 000 €</t>
  </si>
  <si>
    <t>Montant compris entre 50 000 001 et 100 000 000 €</t>
  </si>
  <si>
    <t>Montant compris entre 100 000 001 et 200 000 000 €</t>
  </si>
  <si>
    <t>Montant compris entre 200 000 001 et 500 000 000 €</t>
  </si>
  <si>
    <t>Montant compris entre 500 000 001 € et 1 000 000 000 €</t>
  </si>
  <si>
    <t>Fixed fee</t>
  </si>
  <si>
    <t>Yes</t>
  </si>
  <si>
    <t>No</t>
  </si>
  <si>
    <t>Enter the issuance characteristics in the table below</t>
  </si>
  <si>
    <t>Issued amount in EUR</t>
  </si>
  <si>
    <t>Issuance under a Program (EMTN)</t>
  </si>
  <si>
    <t>Standalone</t>
  </si>
  <si>
    <t>Programme</t>
  </si>
  <si>
    <t>Listing year</t>
  </si>
  <si>
    <t>Admission fees</t>
  </si>
  <si>
    <t>Max admission fees</t>
  </si>
  <si>
    <t>Bond Listing Fees Estimation - Stand-Alone Issuance</t>
  </si>
  <si>
    <t>Annuity fees</t>
  </si>
  <si>
    <t>Total (without tax)</t>
  </si>
  <si>
    <t>Bond Listing Fees Estimation -  Issuance Under Program</t>
  </si>
  <si>
    <t>Max annuity fees</t>
  </si>
  <si>
    <t>number of years to maturity</t>
  </si>
  <si>
    <r>
      <t xml:space="preserve">Should you have any queries, please do not hesitate to contact 
</t>
    </r>
    <r>
      <rPr>
        <b/>
        <sz val="10"/>
        <color theme="0"/>
        <rFont val="Calibri"/>
        <family val="2"/>
        <scheme val="minor"/>
      </rPr>
      <t>corporateactionsfr@euronext.com</t>
    </r>
    <r>
      <rPr>
        <sz val="10"/>
        <color theme="0"/>
        <rFont val="Calibri"/>
        <family val="2"/>
        <scheme val="minor"/>
      </rPr>
      <t xml:space="preserve"> or </t>
    </r>
    <r>
      <rPr>
        <b/>
        <sz val="10"/>
        <color theme="0"/>
        <rFont val="Calibri"/>
        <family val="2"/>
        <scheme val="minor"/>
      </rPr>
      <t>+33 (0)1 85 14 85 93</t>
    </r>
  </si>
  <si>
    <t>Annual fees without max</t>
  </si>
  <si>
    <t>Link to listing procedure</t>
  </si>
  <si>
    <t>This simulation tool is given for an estimation of the charged amount only and has no contractual value.</t>
  </si>
  <si>
    <t>Montant compris entre 1 000 000 001 € et 5 000 000 000 €</t>
  </si>
  <si>
    <t>Montant supérieur à 5 000 000 000 €</t>
  </si>
  <si>
    <t>Maximum fee 20.000 €</t>
  </si>
  <si>
    <r>
      <t xml:space="preserve">Bonds Listing Fee Pricer 2025
</t>
    </r>
    <r>
      <rPr>
        <b/>
        <sz val="10"/>
        <rFont val="Verdana"/>
        <family val="2"/>
      </rPr>
      <t>Medium / Long-Term Debt securities</t>
    </r>
  </si>
  <si>
    <t>Link to fee book 2025</t>
  </si>
  <si>
    <t>Maximum fee 23.000 €</t>
  </si>
  <si>
    <t>number of 20m€ tranche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</si>
</sst>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&quot;€&quot;\ #,##0.00_-"/>
    <numFmt numFmtId="168" formatCode="_-* #,##0\ _€_-;\-* #,##0\ _€_-;_-* &quot;-&quot;??\ _€_-;_-@_-"/>
    <numFmt numFmtId="170" formatCode="_-* #,##0_-;\-* #,##0_-;_-* &quot;-&quot;??_-;_-@_-"/>
    <numFmt numFmtId="171" formatCode="_-* #,##0\ &quot;€&quot;_-;\-* #,##0\ &quot;€&quot;_-;_-* &quot;-&quot;??\ &quot;€&quot;_-;_-@_-"/>
  </numFmts>
  <fonts count="34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2"/>
      <color indexed="48"/>
      <name val="Arial"/>
      <family val="2"/>
    </font>
    <font>
      <b/>
      <sz val="10"/>
      <color indexed="48"/>
      <name val="Arial"/>
      <family val="2"/>
    </font>
    <font>
      <sz val="10"/>
      <color indexed="63"/>
      <name val="Arial"/>
      <family val="2"/>
    </font>
    <font>
      <b/>
      <sz val="9"/>
      <color theme="0"/>
      <name val="Verdana"/>
      <family val="2"/>
    </font>
    <font>
      <b/>
      <sz val="8"/>
      <name val="Arial"/>
      <family val="2"/>
    </font>
    <font>
      <i/>
      <sz val="8"/>
      <name val="Arial"/>
      <family val="2"/>
    </font>
    <font>
      <b/>
      <i/>
      <sz val="10"/>
      <name val="Arial"/>
      <family val="2"/>
    </font>
    <font>
      <b/>
      <u/>
      <sz val="8"/>
      <name val="Arial"/>
      <family val="2"/>
    </font>
    <font>
      <b/>
      <u val="singleAccounting"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8"/>
      <color rgb="FFFF0000"/>
      <name val="Arial"/>
      <family val="2"/>
    </font>
    <font>
      <b/>
      <i/>
      <sz val="10"/>
      <color rgb="FFFF0000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y"/>
      <family val="2"/>
    </font>
    <font>
      <b/>
      <sz val="10"/>
      <color rgb="FF008D7F"/>
      <name val="Verdana"/>
      <family val="2"/>
    </font>
    <font>
      <b/>
      <sz val="10"/>
      <name val="Verdana"/>
      <family val="2"/>
    </font>
    <font>
      <b/>
      <sz val="11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u/>
      <sz val="11"/>
      <color theme="10"/>
      <name val="Calibry"/>
      <family val="2"/>
    </font>
    <font>
      <u/>
      <sz val="10"/>
      <color theme="2"/>
      <name val="Calibry"/>
      <family val="2"/>
    </font>
    <font>
      <i/>
      <sz val="8"/>
      <color theme="1"/>
      <name val="Calibri"/>
      <family val="2"/>
      <scheme val="minor"/>
    </font>
    <font>
      <b/>
      <sz val="9"/>
      <name val="Verdana"/>
      <family val="2"/>
    </font>
    <font>
      <sz val="9"/>
      <color theme="2" tint="-0.749992370372631"/>
      <name val="Verdana"/>
      <family val="2"/>
    </font>
    <font>
      <b/>
      <sz val="9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008D7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22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theme="0"/>
      </right>
      <top style="thin">
        <color indexed="22"/>
      </top>
      <bottom/>
      <diagonal/>
    </border>
    <border>
      <left style="thin">
        <color theme="0"/>
      </left>
      <right style="thin">
        <color indexed="64"/>
      </right>
      <top style="thin">
        <color indexed="22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rgb="FF309070"/>
      </top>
      <bottom/>
      <diagonal/>
    </border>
    <border>
      <left/>
      <right style="thin">
        <color theme="2" tint="-0.749992370372631"/>
      </right>
      <top/>
      <bottom style="thin">
        <color theme="2" tint="-0.749992370372631"/>
      </bottom>
      <diagonal/>
    </border>
    <border>
      <left/>
      <right/>
      <top/>
      <bottom style="thin">
        <color theme="2" tint="-0.749992370372631"/>
      </bottom>
      <diagonal/>
    </border>
    <border>
      <left/>
      <right style="thin">
        <color theme="2" tint="-0.749992370372631"/>
      </right>
      <top style="thin">
        <color theme="2" tint="-0.749992370372631"/>
      </top>
      <bottom style="thin">
        <color theme="2" tint="-0.749992370372631"/>
      </bottom>
      <diagonal/>
    </border>
    <border>
      <left style="thin">
        <color theme="2" tint="-0.749992370372631"/>
      </left>
      <right/>
      <top style="thin">
        <color theme="2" tint="-0.749992370372631"/>
      </top>
      <bottom style="thin">
        <color theme="2" tint="-0.74999237037263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theme="2" tint="-0.749992370372631"/>
      </right>
      <top style="thin">
        <color theme="2" tint="-0.749992370372631"/>
      </top>
      <bottom/>
      <diagonal/>
    </border>
    <border>
      <left style="thin">
        <color theme="2" tint="-0.749992370372631"/>
      </left>
      <right/>
      <top/>
      <bottom style="thin">
        <color theme="2" tint="-0.749992370372631"/>
      </bottom>
      <diagonal/>
    </border>
    <border>
      <left/>
      <right/>
      <top style="thin">
        <color theme="2" tint="-0.74999237037263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2" tint="-0.749992370372631"/>
      </left>
      <right/>
      <top style="thin">
        <color theme="2" tint="-0.749992370372631"/>
      </top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20" fillId="0" borderId="0"/>
    <xf numFmtId="44" fontId="20" fillId="0" borderId="0" applyFont="0" applyFill="0" applyBorder="0" applyAlignment="0" applyProtection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0" borderId="0" applyNumberFormat="0" applyFill="0" applyBorder="0" applyAlignment="0" applyProtection="0"/>
  </cellStyleXfs>
  <cellXfs count="82">
    <xf numFmtId="0" fontId="0" fillId="0" borderId="0" xfId="0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right"/>
    </xf>
    <xf numFmtId="0" fontId="6" fillId="0" borderId="0" xfId="0" applyFont="1"/>
    <xf numFmtId="4" fontId="0" fillId="0" borderId="0" xfId="0" applyNumberFormat="1" applyAlignment="1">
      <alignment horizontal="right"/>
    </xf>
    <xf numFmtId="0" fontId="7" fillId="0" borderId="0" xfId="0" applyFont="1"/>
    <xf numFmtId="4" fontId="3" fillId="0" borderId="0" xfId="0" applyNumberFormat="1" applyFont="1" applyAlignment="1">
      <alignment horizontal="right"/>
    </xf>
    <xf numFmtId="165" fontId="0" fillId="0" borderId="2" xfId="0" applyNumberFormat="1" applyBorder="1" applyAlignment="1">
      <alignment vertical="center"/>
    </xf>
    <xf numFmtId="165" fontId="0" fillId="0" borderId="5" xfId="0" applyNumberFormat="1" applyBorder="1" applyAlignment="1">
      <alignment vertical="center"/>
    </xf>
    <xf numFmtId="165" fontId="0" fillId="0" borderId="3" xfId="0" applyNumberFormat="1" applyBorder="1" applyAlignment="1">
      <alignment vertical="center"/>
    </xf>
    <xf numFmtId="165" fontId="0" fillId="0" borderId="6" xfId="0" applyNumberFormat="1" applyBorder="1" applyAlignment="1">
      <alignment vertical="center"/>
    </xf>
    <xf numFmtId="44" fontId="2" fillId="3" borderId="7" xfId="2" applyFont="1" applyFill="1" applyBorder="1" applyAlignment="1">
      <alignment horizontal="center" vertical="center" wrapText="1"/>
    </xf>
    <xf numFmtId="0" fontId="2" fillId="3" borderId="7" xfId="3" applyFont="1" applyFill="1" applyBorder="1" applyAlignment="1">
      <alignment horizontal="right" vertical="top" wrapText="1"/>
    </xf>
    <xf numFmtId="0" fontId="9" fillId="3" borderId="7" xfId="3" applyFont="1" applyFill="1" applyBorder="1" applyAlignment="1">
      <alignment horizontal="center" vertical="top" wrapText="1"/>
    </xf>
    <xf numFmtId="44" fontId="2" fillId="3" borderId="7" xfId="2" applyFont="1" applyFill="1" applyBorder="1" applyAlignment="1">
      <alignment horizontal="right" vertical="top" wrapText="1"/>
    </xf>
    <xf numFmtId="44" fontId="3" fillId="3" borderId="7" xfId="2" applyFont="1" applyFill="1" applyBorder="1" applyAlignment="1">
      <alignment horizontal="center" vertical="center" wrapText="1"/>
    </xf>
    <xf numFmtId="168" fontId="10" fillId="3" borderId="7" xfId="1" applyNumberFormat="1" applyFont="1" applyFill="1" applyBorder="1" applyAlignment="1">
      <alignment horizontal="center" vertical="center" wrapText="1"/>
    </xf>
    <xf numFmtId="0" fontId="11" fillId="3" borderId="7" xfId="3" applyFont="1" applyFill="1" applyBorder="1" applyAlignment="1">
      <alignment horizontal="center" vertical="top" wrapText="1"/>
    </xf>
    <xf numFmtId="0" fontId="11" fillId="3" borderId="7" xfId="3" applyFont="1" applyFill="1" applyBorder="1" applyAlignment="1">
      <alignment horizontal="right" vertical="top" wrapText="1"/>
    </xf>
    <xf numFmtId="0" fontId="12" fillId="3" borderId="7" xfId="3" applyFont="1" applyFill="1" applyBorder="1" applyAlignment="1">
      <alignment horizontal="center" vertical="top" wrapText="1"/>
    </xf>
    <xf numFmtId="44" fontId="12" fillId="3" borderId="7" xfId="2" applyFont="1" applyFill="1" applyBorder="1" applyAlignment="1">
      <alignment horizontal="center" vertical="center" wrapText="1"/>
    </xf>
    <xf numFmtId="0" fontId="13" fillId="3" borderId="7" xfId="3" applyFont="1" applyFill="1" applyBorder="1" applyAlignment="1">
      <alignment horizontal="center" vertical="top" wrapText="1"/>
    </xf>
    <xf numFmtId="44" fontId="13" fillId="3" borderId="7" xfId="2" applyFont="1" applyFill="1" applyBorder="1" applyAlignment="1">
      <alignment horizontal="center" vertical="center" wrapText="1"/>
    </xf>
    <xf numFmtId="44" fontId="12" fillId="3" borderId="7" xfId="2" applyFont="1" applyFill="1" applyBorder="1" applyAlignment="1">
      <alignment horizontal="right" vertical="top" wrapText="1"/>
    </xf>
    <xf numFmtId="14" fontId="14" fillId="3" borderId="7" xfId="1" applyNumberFormat="1" applyFont="1" applyFill="1" applyBorder="1" applyAlignment="1">
      <alignment horizontal="center" vertical="center" wrapText="1"/>
    </xf>
    <xf numFmtId="0" fontId="14" fillId="4" borderId="0" xfId="0" applyFont="1" applyFill="1"/>
    <xf numFmtId="0" fontId="15" fillId="4" borderId="7" xfId="3" applyFont="1" applyFill="1" applyBorder="1" applyAlignment="1">
      <alignment horizontal="center" vertical="top" wrapText="1"/>
    </xf>
    <xf numFmtId="14" fontId="16" fillId="3" borderId="7" xfId="1" applyNumberFormat="1" applyFont="1" applyFill="1" applyBorder="1" applyAlignment="1">
      <alignment horizontal="center" vertical="center" wrapText="1"/>
    </xf>
    <xf numFmtId="44" fontId="18" fillId="3" borderId="7" xfId="2" applyFont="1" applyFill="1" applyBorder="1" applyAlignment="1">
      <alignment horizontal="center" vertical="center" wrapText="1"/>
    </xf>
    <xf numFmtId="0" fontId="18" fillId="3" borderId="7" xfId="3" applyFont="1" applyFill="1" applyBorder="1" applyAlignment="1">
      <alignment horizontal="right" vertical="top" wrapText="1"/>
    </xf>
    <xf numFmtId="14" fontId="19" fillId="3" borderId="7" xfId="1" applyNumberFormat="1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/>
    </xf>
    <xf numFmtId="0" fontId="9" fillId="3" borderId="8" xfId="3" applyFont="1" applyFill="1" applyBorder="1" applyAlignment="1">
      <alignment horizontal="center" vertical="top" wrapText="1"/>
    </xf>
    <xf numFmtId="44" fontId="9" fillId="3" borderId="9" xfId="2" applyFont="1" applyFill="1" applyBorder="1" applyAlignment="1">
      <alignment horizontal="center" vertical="center" wrapText="1"/>
    </xf>
    <xf numFmtId="0" fontId="9" fillId="3" borderId="10" xfId="3" applyFont="1" applyFill="1" applyBorder="1" applyAlignment="1">
      <alignment horizontal="center" vertical="top" wrapText="1"/>
    </xf>
    <xf numFmtId="168" fontId="17" fillId="3" borderId="11" xfId="1" applyNumberFormat="1" applyFont="1" applyFill="1" applyBorder="1" applyAlignment="1">
      <alignment horizontal="center" vertical="center" wrapText="1"/>
    </xf>
    <xf numFmtId="0" fontId="9" fillId="3" borderId="12" xfId="3" applyFont="1" applyFill="1" applyBorder="1" applyAlignment="1">
      <alignment horizontal="center" vertical="top" wrapText="1"/>
    </xf>
    <xf numFmtId="44" fontId="17" fillId="3" borderId="13" xfId="2" applyFont="1" applyFill="1" applyBorder="1" applyAlignment="1">
      <alignment horizontal="center" vertical="center" wrapText="1"/>
    </xf>
    <xf numFmtId="0" fontId="9" fillId="3" borderId="14" xfId="3" applyFont="1" applyFill="1" applyBorder="1" applyAlignment="1">
      <alignment horizontal="center" vertical="top" wrapText="1"/>
    </xf>
    <xf numFmtId="44" fontId="9" fillId="3" borderId="15" xfId="2" applyFont="1" applyFill="1" applyBorder="1" applyAlignment="1">
      <alignment horizontal="center" vertical="center" wrapText="1"/>
    </xf>
    <xf numFmtId="44" fontId="2" fillId="3" borderId="7" xfId="3" applyNumberFormat="1" applyFont="1" applyFill="1" applyBorder="1" applyAlignment="1">
      <alignment horizontal="right" vertical="top" wrapText="1"/>
    </xf>
    <xf numFmtId="165" fontId="0" fillId="0" borderId="17" xfId="0" applyNumberFormat="1" applyBorder="1" applyAlignment="1">
      <alignment vertical="center"/>
    </xf>
    <xf numFmtId="165" fontId="0" fillId="0" borderId="18" xfId="0" applyNumberFormat="1" applyBorder="1" applyAlignment="1">
      <alignment vertical="center"/>
    </xf>
    <xf numFmtId="165" fontId="0" fillId="0" borderId="1" xfId="0" applyNumberFormat="1" applyBorder="1" applyAlignment="1">
      <alignment vertical="center"/>
    </xf>
    <xf numFmtId="165" fontId="0" fillId="0" borderId="4" xfId="0" applyNumberFormat="1" applyBorder="1" applyAlignment="1">
      <alignment vertical="center"/>
    </xf>
    <xf numFmtId="165" fontId="0" fillId="0" borderId="16" xfId="0" applyNumberFormat="1" applyBorder="1" applyAlignment="1">
      <alignment vertical="center"/>
    </xf>
    <xf numFmtId="0" fontId="20" fillId="4" borderId="0" xfId="6" applyFont="1" applyFill="1" applyAlignment="1" applyProtection="1">
      <alignment vertical="center"/>
      <protection hidden="1"/>
    </xf>
    <xf numFmtId="0" fontId="20" fillId="4" borderId="19" xfId="6" applyFont="1" applyFill="1" applyBorder="1" applyAlignment="1" applyProtection="1">
      <alignment vertical="center"/>
      <protection hidden="1"/>
    </xf>
    <xf numFmtId="0" fontId="20" fillId="0" borderId="0" xfId="6" applyFont="1" applyProtection="1">
      <protection hidden="1"/>
    </xf>
    <xf numFmtId="0" fontId="22" fillId="4" borderId="0" xfId="6" applyFont="1" applyFill="1" applyAlignment="1" applyProtection="1">
      <alignment horizontal="right" vertical="center" wrapText="1"/>
      <protection hidden="1"/>
    </xf>
    <xf numFmtId="0" fontId="20" fillId="4" borderId="0" xfId="6" applyFont="1" applyFill="1" applyAlignment="1" applyProtection="1">
      <alignment vertical="center" wrapText="1"/>
      <protection hidden="1"/>
    </xf>
    <xf numFmtId="0" fontId="20" fillId="0" borderId="0" xfId="6" applyFont="1" applyAlignment="1" applyProtection="1">
      <alignment vertical="center"/>
      <protection hidden="1"/>
    </xf>
    <xf numFmtId="0" fontId="20" fillId="0" borderId="24" xfId="6" applyFont="1" applyBorder="1" applyAlignment="1" applyProtection="1">
      <alignment horizontal="center" vertical="center"/>
      <protection hidden="1"/>
    </xf>
    <xf numFmtId="170" fontId="20" fillId="0" borderId="25" xfId="8" applyNumberFormat="1" applyFont="1" applyBorder="1" applyAlignment="1" applyProtection="1">
      <alignment horizontal="center" vertical="center"/>
      <protection hidden="1"/>
    </xf>
    <xf numFmtId="170" fontId="20" fillId="0" borderId="25" xfId="8" applyNumberFormat="1" applyFont="1" applyBorder="1" applyAlignment="1" applyProtection="1">
      <alignment horizontal="center"/>
      <protection hidden="1"/>
    </xf>
    <xf numFmtId="171" fontId="20" fillId="0" borderId="25" xfId="7" applyNumberFormat="1" applyFont="1" applyBorder="1" applyAlignment="1" applyProtection="1">
      <alignment horizontal="center"/>
      <protection hidden="1"/>
    </xf>
    <xf numFmtId="170" fontId="20" fillId="0" borderId="0" xfId="8" applyNumberFormat="1" applyFont="1" applyProtection="1">
      <protection hidden="1"/>
    </xf>
    <xf numFmtId="0" fontId="25" fillId="4" borderId="0" xfId="6" applyFont="1" applyFill="1" applyAlignment="1" applyProtection="1">
      <alignment vertical="center"/>
      <protection hidden="1"/>
    </xf>
    <xf numFmtId="170" fontId="20" fillId="0" borderId="29" xfId="8" applyNumberFormat="1" applyFont="1" applyBorder="1" applyAlignment="1" applyProtection="1">
      <alignment horizontal="center"/>
      <protection hidden="1"/>
    </xf>
    <xf numFmtId="0" fontId="20" fillId="0" borderId="0" xfId="6" applyFont="1" applyAlignment="1" applyProtection="1">
      <alignment horizontal="center"/>
      <protection hidden="1"/>
    </xf>
    <xf numFmtId="44" fontId="20" fillId="0" borderId="0" xfId="6" applyNumberFormat="1" applyFont="1" applyProtection="1">
      <protection hidden="1"/>
    </xf>
    <xf numFmtId="0" fontId="30" fillId="4" borderId="0" xfId="6" applyFont="1" applyFill="1" applyAlignment="1" applyProtection="1">
      <alignment horizontal="right" vertical="center" wrapText="1"/>
      <protection hidden="1"/>
    </xf>
    <xf numFmtId="0" fontId="8" fillId="2" borderId="0" xfId="3" applyFont="1" applyFill="1" applyAlignment="1">
      <alignment horizontal="center" vertical="center"/>
    </xf>
    <xf numFmtId="0" fontId="30" fillId="4" borderId="0" xfId="6" applyFont="1" applyFill="1" applyAlignment="1" applyProtection="1">
      <alignment horizontal="center" vertical="center" wrapText="1"/>
      <protection hidden="1"/>
    </xf>
    <xf numFmtId="0" fontId="24" fillId="2" borderId="0" xfId="3" applyFont="1" applyFill="1" applyAlignment="1" applyProtection="1">
      <alignment horizontal="center" vertical="center"/>
      <protection hidden="1"/>
    </xf>
    <xf numFmtId="0" fontId="26" fillId="2" borderId="0" xfId="3" applyFont="1" applyFill="1" applyAlignment="1" applyProtection="1">
      <alignment horizontal="center" vertical="center" wrapText="1"/>
      <protection hidden="1"/>
    </xf>
    <xf numFmtId="0" fontId="27" fillId="2" borderId="0" xfId="3" applyFont="1" applyFill="1" applyAlignment="1" applyProtection="1">
      <alignment horizontal="center" vertical="center" wrapText="1"/>
      <protection hidden="1"/>
    </xf>
    <xf numFmtId="0" fontId="29" fillId="2" borderId="0" xfId="9" applyFont="1" applyFill="1" applyAlignment="1" applyProtection="1">
      <alignment horizontal="center" vertical="center" wrapText="1"/>
      <protection hidden="1"/>
    </xf>
    <xf numFmtId="44" fontId="32" fillId="4" borderId="27" xfId="7" applyFont="1" applyFill="1" applyBorder="1" applyAlignment="1" applyProtection="1">
      <alignment horizontal="right" vertical="center"/>
      <protection hidden="1"/>
    </xf>
    <xf numFmtId="44" fontId="32" fillId="4" borderId="23" xfId="0" applyNumberFormat="1" applyFont="1" applyFill="1" applyBorder="1" applyAlignment="1" applyProtection="1">
      <alignment horizontal="right" vertical="center"/>
      <protection hidden="1"/>
    </xf>
    <xf numFmtId="44" fontId="33" fillId="4" borderId="28" xfId="0" applyNumberFormat="1" applyFont="1" applyFill="1" applyBorder="1" applyAlignment="1" applyProtection="1">
      <alignment horizontal="right" vertical="center"/>
      <protection hidden="1"/>
    </xf>
    <xf numFmtId="0" fontId="31" fillId="4" borderId="20" xfId="0" applyFont="1" applyFill="1" applyBorder="1" applyAlignment="1" applyProtection="1">
      <alignment horizontal="left" vertical="center"/>
      <protection hidden="1"/>
    </xf>
    <xf numFmtId="0" fontId="31" fillId="4" borderId="22" xfId="0" applyFont="1" applyFill="1" applyBorder="1" applyAlignment="1" applyProtection="1">
      <alignment horizontal="left" vertical="center"/>
      <protection hidden="1"/>
    </xf>
    <xf numFmtId="0" fontId="31" fillId="4" borderId="26" xfId="0" applyFont="1" applyFill="1" applyBorder="1" applyAlignment="1" applyProtection="1">
      <alignment horizontal="left" vertical="center"/>
      <protection hidden="1"/>
    </xf>
    <xf numFmtId="0" fontId="32" fillId="4" borderId="20" xfId="0" applyFont="1" applyFill="1" applyBorder="1" applyAlignment="1" applyProtection="1">
      <alignment horizontal="left" vertical="center"/>
      <protection hidden="1"/>
    </xf>
    <xf numFmtId="0" fontId="32" fillId="4" borderId="22" xfId="0" applyFont="1" applyFill="1" applyBorder="1" applyAlignment="1" applyProtection="1">
      <alignment horizontal="left" vertical="center"/>
      <protection hidden="1"/>
    </xf>
    <xf numFmtId="0" fontId="33" fillId="4" borderId="26" xfId="0" applyFont="1" applyFill="1" applyBorder="1" applyAlignment="1" applyProtection="1">
      <alignment horizontal="left" vertical="center"/>
      <protection hidden="1"/>
    </xf>
    <xf numFmtId="44" fontId="31" fillId="5" borderId="21" xfId="7" applyFont="1" applyFill="1" applyBorder="1" applyAlignment="1" applyProtection="1">
      <alignment horizontal="center" vertical="center"/>
      <protection locked="0" hidden="1"/>
    </xf>
    <xf numFmtId="44" fontId="31" fillId="5" borderId="23" xfId="7" applyFont="1" applyFill="1" applyBorder="1" applyAlignment="1" applyProtection="1">
      <alignment horizontal="right" vertical="center"/>
      <protection locked="0" hidden="1"/>
    </xf>
    <xf numFmtId="0" fontId="31" fillId="5" borderId="23" xfId="0" applyFont="1" applyFill="1" applyBorder="1" applyAlignment="1" applyProtection="1">
      <alignment horizontal="right" vertical="center"/>
      <protection locked="0" hidden="1"/>
    </xf>
    <xf numFmtId="0" fontId="31" fillId="5" borderId="30" xfId="0" applyFont="1" applyFill="1" applyBorder="1" applyAlignment="1" applyProtection="1">
      <alignment horizontal="right" vertical="center"/>
      <protection locked="0" hidden="1"/>
    </xf>
  </cellXfs>
  <cellStyles count="10">
    <cellStyle name="Lien hypertexte 2" xfId="9" xr:uid="{B0FABC48-B92F-4EA3-9E7E-23C05251FBF0}"/>
    <cellStyle name="Milliers" xfId="1" builtinId="3"/>
    <cellStyle name="Milliers 2" xfId="8" xr:uid="{437B202E-CA73-4F53-9472-A162E04BF2E7}"/>
    <cellStyle name="Monétaire" xfId="2" builtinId="4"/>
    <cellStyle name="Monétaire 2" xfId="5" xr:uid="{00000000-0005-0000-0000-000002000000}"/>
    <cellStyle name="Monétaire 3" xfId="7" xr:uid="{6E586AB3-C1F1-4F15-A8F1-29F9C0879051}"/>
    <cellStyle name="Normal" xfId="0" builtinId="0"/>
    <cellStyle name="Normal 2" xfId="3" xr:uid="{00000000-0005-0000-0000-000004000000}"/>
    <cellStyle name="Normal 3" xfId="4" xr:uid="{00000000-0005-0000-0000-000005000000}"/>
    <cellStyle name="Normal 4" xfId="6" xr:uid="{B6BE11A9-AD1A-480D-9842-314B29E877A5}"/>
  </cellStyles>
  <dxfs count="10">
    <dxf>
      <font>
        <b/>
        <i val="0"/>
        <condense val="0"/>
        <extend val="0"/>
        <u/>
      </font>
    </dxf>
    <dxf>
      <font>
        <b/>
        <i/>
        <condense val="0"/>
        <extend val="0"/>
      </font>
    </dxf>
    <dxf>
      <font>
        <b/>
        <i val="0"/>
        <condense val="0"/>
        <extend val="0"/>
        <u/>
      </font>
    </dxf>
    <dxf>
      <font>
        <b/>
        <i/>
        <condense val="0"/>
        <extend val="0"/>
      </font>
    </dxf>
    <dxf>
      <font>
        <b/>
        <i val="0"/>
        <condense val="0"/>
        <extend val="0"/>
        <u/>
      </font>
    </dxf>
    <dxf>
      <font>
        <b/>
        <i/>
        <condense val="0"/>
        <extend val="0"/>
      </font>
    </dxf>
    <dxf>
      <font>
        <b/>
        <i val="0"/>
        <condense val="0"/>
        <extend val="0"/>
        <u/>
      </font>
    </dxf>
    <dxf>
      <font>
        <b/>
        <i/>
        <condense val="0"/>
        <extend val="0"/>
      </font>
    </dxf>
    <dxf>
      <font>
        <b/>
        <i val="0"/>
        <condense val="0"/>
        <extend val="0"/>
        <u/>
      </font>
    </dxf>
    <dxf>
      <font>
        <b/>
        <i/>
        <condense val="0"/>
        <extend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142875</xdr:rowOff>
    </xdr:from>
    <xdr:to>
      <xdr:col>1</xdr:col>
      <xdr:colOff>1620924</xdr:colOff>
      <xdr:row>2</xdr:row>
      <xdr:rowOff>38100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2304C93-349E-4C56-85CC-A1B55BB47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42875"/>
          <a:ext cx="1649499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uronext.com/en/list-products/bonds/how-list-euronext" TargetMode="External"/><Relationship Id="rId1" Type="http://schemas.openxmlformats.org/officeDocument/2006/relationships/hyperlink" Target="https://www.euronext.com/en/raise-capital/how-go-public/rules-fees-and-forms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99809-6565-4961-98E6-83D2ED59D91C}">
  <dimension ref="A1:K27"/>
  <sheetViews>
    <sheetView tabSelected="1" workbookViewId="0">
      <selection activeCell="D7" sqref="D7"/>
    </sheetView>
  </sheetViews>
  <sheetFormatPr baseColWidth="10" defaultColWidth="0" defaultRowHeight="15" customHeight="1" zeroHeight="1"/>
  <cols>
    <col min="1" max="1" width="4.42578125" style="52" customWidth="1"/>
    <col min="2" max="2" width="35.85546875" style="52" customWidth="1"/>
    <col min="3" max="3" width="42.42578125" style="52" customWidth="1"/>
    <col min="4" max="4" width="4.42578125" style="52" customWidth="1"/>
    <col min="5" max="5" width="24" style="49" hidden="1"/>
    <col min="6" max="6" width="26" style="49" hidden="1"/>
    <col min="7" max="7" width="13.7109375" style="49" hidden="1"/>
    <col min="8" max="9" width="12.5703125" style="49" hidden="1"/>
    <col min="10" max="10" width="26.7109375" style="49" hidden="1"/>
    <col min="11" max="11" width="0" style="49" hidden="1"/>
    <col min="12" max="16384" width="12.5703125" style="49" hidden="1"/>
  </cols>
  <sheetData>
    <row r="1" spans="1:11" ht="21" customHeight="1">
      <c r="A1" s="47"/>
      <c r="B1" s="48"/>
      <c r="C1" s="48"/>
      <c r="D1" s="47"/>
    </row>
    <row r="2" spans="1:11" ht="28.5" customHeight="1">
      <c r="A2" s="47"/>
      <c r="B2" s="47"/>
      <c r="C2" s="50" t="s">
        <v>61</v>
      </c>
      <c r="D2" s="51"/>
      <c r="H2" s="49" t="s">
        <v>38</v>
      </c>
    </row>
    <row r="3" spans="1:11" ht="21" customHeight="1">
      <c r="A3" s="47"/>
      <c r="B3" s="47"/>
      <c r="C3" s="47"/>
      <c r="D3" s="47"/>
      <c r="H3" s="49" t="s">
        <v>39</v>
      </c>
    </row>
    <row r="4" spans="1:11" s="52" customFormat="1" ht="21" customHeight="1">
      <c r="A4" s="47"/>
      <c r="B4" s="65" t="s">
        <v>40</v>
      </c>
      <c r="C4" s="65"/>
      <c r="D4" s="47"/>
      <c r="K4" s="52">
        <v>0.92730000000000001</v>
      </c>
    </row>
    <row r="5" spans="1:11" s="52" customFormat="1" ht="21" customHeight="1" thickBot="1">
      <c r="A5" s="47"/>
      <c r="B5" s="72" t="s">
        <v>41</v>
      </c>
      <c r="C5" s="78"/>
      <c r="D5" s="47"/>
      <c r="K5" s="52">
        <v>50000000</v>
      </c>
    </row>
    <row r="6" spans="1:11" s="52" customFormat="1" ht="21" customHeight="1">
      <c r="A6" s="47"/>
      <c r="B6" s="73" t="s">
        <v>42</v>
      </c>
      <c r="C6" s="79"/>
      <c r="D6" s="47"/>
      <c r="G6" s="53" t="s">
        <v>43</v>
      </c>
      <c r="H6" s="53" t="s">
        <v>44</v>
      </c>
      <c r="K6" s="52">
        <f>K5*K4</f>
        <v>46365000</v>
      </c>
    </row>
    <row r="7" spans="1:11" s="52" customFormat="1" ht="21" customHeight="1">
      <c r="A7" s="47"/>
      <c r="B7" s="73" t="s">
        <v>45</v>
      </c>
      <c r="C7" s="80"/>
      <c r="D7" s="47"/>
      <c r="F7" s="52" t="s">
        <v>46</v>
      </c>
      <c r="G7" s="54">
        <v>200</v>
      </c>
      <c r="H7" s="54">
        <v>1000</v>
      </c>
    </row>
    <row r="8" spans="1:11" s="52" customFormat="1" ht="21" customHeight="1">
      <c r="A8" s="47"/>
      <c r="B8" s="74" t="s">
        <v>17</v>
      </c>
      <c r="C8" s="81"/>
      <c r="D8" s="47"/>
      <c r="F8" s="52" t="s">
        <v>47</v>
      </c>
      <c r="G8" s="54">
        <v>6000</v>
      </c>
      <c r="H8" s="54">
        <v>1000</v>
      </c>
    </row>
    <row r="9" spans="1:11" ht="21" customHeight="1">
      <c r="A9" s="47"/>
      <c r="B9" s="47"/>
      <c r="C9" s="47"/>
      <c r="D9" s="47"/>
      <c r="G9" s="55"/>
      <c r="H9" s="55"/>
    </row>
    <row r="10" spans="1:11" ht="21" customHeight="1">
      <c r="A10" s="47"/>
      <c r="B10" s="65" t="s">
        <v>48</v>
      </c>
      <c r="C10" s="65"/>
      <c r="D10" s="47"/>
      <c r="G10" s="56">
        <v>0</v>
      </c>
      <c r="H10" s="55">
        <v>650</v>
      </c>
      <c r="I10" s="57">
        <f>$G$19*H10</f>
        <v>650</v>
      </c>
    </row>
    <row r="11" spans="1:11" ht="21" customHeight="1">
      <c r="A11" s="47"/>
      <c r="B11" s="75" t="s">
        <v>46</v>
      </c>
      <c r="C11" s="69" t="str">
        <f>IF(C8=0,"",IF(C6="No",IF(G7*G18&lt;G8,G7*G18,G8),""))</f>
        <v/>
      </c>
      <c r="D11" s="47"/>
      <c r="G11" s="56">
        <v>50000001</v>
      </c>
      <c r="H11" s="55">
        <v>680</v>
      </c>
      <c r="I11" s="57">
        <f>$G$19*H11</f>
        <v>680</v>
      </c>
    </row>
    <row r="12" spans="1:11" ht="21" customHeight="1">
      <c r="A12" s="47"/>
      <c r="B12" s="76" t="s">
        <v>49</v>
      </c>
      <c r="C12" s="70" t="str">
        <f>IF(C8=0,"",IF(C6="No",IF(G20+C11&gt;G16+G8,G16+G8-C11,G20),""))</f>
        <v/>
      </c>
      <c r="D12" s="47"/>
      <c r="G12" s="56">
        <v>100000001</v>
      </c>
      <c r="H12" s="55">
        <v>730</v>
      </c>
      <c r="I12" s="57">
        <f>$G$19*H12</f>
        <v>730</v>
      </c>
      <c r="J12" s="52"/>
      <c r="K12" s="52"/>
    </row>
    <row r="13" spans="1:11" ht="21" customHeight="1">
      <c r="A13" s="47"/>
      <c r="B13" s="77" t="s">
        <v>50</v>
      </c>
      <c r="C13" s="71" t="str">
        <f>IF(C8=0,"",IF(C6="No",IF(SUM(C11:C12)&gt;G8+G16,G8+G16,SUM(C11:C12)),""))</f>
        <v/>
      </c>
      <c r="D13" s="47"/>
      <c r="G13" s="56">
        <v>250000001</v>
      </c>
      <c r="H13" s="55">
        <v>780</v>
      </c>
      <c r="I13" s="57">
        <f>$G$19*H13</f>
        <v>780</v>
      </c>
      <c r="J13" s="52"/>
      <c r="K13" s="52"/>
    </row>
    <row r="14" spans="1:11" ht="21" customHeight="1">
      <c r="A14" s="47"/>
      <c r="B14" s="58" t="s">
        <v>63</v>
      </c>
      <c r="C14" s="47"/>
      <c r="D14" s="47"/>
      <c r="G14" s="56">
        <v>500000001</v>
      </c>
      <c r="H14" s="55">
        <v>900</v>
      </c>
      <c r="I14" s="57">
        <f>$G$19*H14</f>
        <v>900</v>
      </c>
      <c r="J14" s="52"/>
      <c r="K14" s="52"/>
    </row>
    <row r="15" spans="1:11" ht="21" customHeight="1">
      <c r="A15" s="47"/>
      <c r="B15" s="65" t="s">
        <v>51</v>
      </c>
      <c r="C15" s="65"/>
      <c r="D15" s="47"/>
      <c r="G15" s="56">
        <v>750000001</v>
      </c>
      <c r="H15" s="55">
        <v>1000</v>
      </c>
      <c r="I15" s="49">
        <f>$G$19*H15</f>
        <v>1000</v>
      </c>
    </row>
    <row r="16" spans="1:11" ht="21" customHeight="1" thickBot="1">
      <c r="A16" s="47"/>
      <c r="B16" s="75" t="s">
        <v>46</v>
      </c>
      <c r="C16" s="69" t="str">
        <f>IF(C8=0,"",IF(C6="Yes",1000,""))</f>
        <v/>
      </c>
      <c r="D16" s="47"/>
      <c r="F16" s="49" t="s">
        <v>52</v>
      </c>
      <c r="G16" s="59">
        <v>17000</v>
      </c>
      <c r="H16" s="59">
        <v>19000</v>
      </c>
    </row>
    <row r="17" spans="1:8" ht="21" customHeight="1">
      <c r="A17" s="47"/>
      <c r="B17" s="76" t="s">
        <v>49</v>
      </c>
      <c r="C17" s="70" t="str">
        <f>IF(C8=0,"",IF(C6="Yes",IF(IF(C5&lt;G11,I10,IF(C5&lt;G12,I11,IF(C5&lt;G13,I12,IF(C5&lt;G14,I13,IF(C5&lt;G15,I14,I15)))))&gt;H16,H16,IF(C5&lt;G11,I10,IF(C5&lt;G12,I11,IF(C5&lt;G13,I12,IF(C5&lt;G14,I13,IF(C5&lt;G15,I14,I15)))))),""))</f>
        <v/>
      </c>
      <c r="D17" s="47"/>
      <c r="G17" s="60"/>
      <c r="H17" s="60"/>
    </row>
    <row r="18" spans="1:8" ht="21" customHeight="1">
      <c r="A18" s="47"/>
      <c r="B18" s="77" t="s">
        <v>50</v>
      </c>
      <c r="C18" s="71" t="str">
        <f>IF(C8=0,"",IF(C6="Yes",SUM(C16:C17),""))</f>
        <v/>
      </c>
      <c r="D18" s="47"/>
      <c r="F18" s="52" t="s">
        <v>64</v>
      </c>
      <c r="G18" s="52">
        <f>ROUNDUP(C5/20000000,0)</f>
        <v>0</v>
      </c>
    </row>
    <row r="19" spans="1:8" ht="21" customHeight="1">
      <c r="A19" s="47"/>
      <c r="B19" s="58" t="s">
        <v>60</v>
      </c>
      <c r="C19" s="47"/>
      <c r="D19" s="47"/>
      <c r="F19" s="49" t="s">
        <v>53</v>
      </c>
      <c r="G19" s="52">
        <f>C8-C7+1</f>
        <v>1</v>
      </c>
    </row>
    <row r="20" spans="1:8" ht="26.25" customHeight="1">
      <c r="A20" s="47"/>
      <c r="B20" s="66" t="s">
        <v>54</v>
      </c>
      <c r="C20" s="67"/>
      <c r="D20" s="47"/>
      <c r="F20" s="49" t="s">
        <v>55</v>
      </c>
      <c r="G20" s="61" t="str">
        <f>IF(C8=0,"",IF(C6="No",IF(C5&lt;G11,I10,IF(C5&lt;G12,I11,IF(C5&lt;G13,I12,IF(C5&lt;G14,I13,I14)))),""))</f>
        <v/>
      </c>
    </row>
    <row r="21" spans="1:8" ht="21" customHeight="1">
      <c r="A21" s="47"/>
      <c r="B21" s="68" t="s">
        <v>56</v>
      </c>
      <c r="C21" s="68"/>
      <c r="D21" s="47"/>
    </row>
    <row r="22" spans="1:8" ht="21" customHeight="1">
      <c r="A22" s="47"/>
      <c r="B22" s="68" t="s">
        <v>62</v>
      </c>
      <c r="C22" s="68"/>
      <c r="D22" s="47"/>
    </row>
    <row r="23" spans="1:8" s="52" customFormat="1">
      <c r="A23" s="47"/>
      <c r="B23" s="62"/>
      <c r="C23" s="62"/>
      <c r="D23" s="47"/>
    </row>
    <row r="24" spans="1:8" s="52" customFormat="1">
      <c r="A24" s="47"/>
      <c r="B24" s="64" t="s">
        <v>57</v>
      </c>
      <c r="C24" s="64"/>
      <c r="D24" s="47"/>
    </row>
    <row r="25" spans="1:8">
      <c r="A25" s="47"/>
      <c r="B25" s="47"/>
      <c r="C25" s="47"/>
      <c r="D25" s="47"/>
    </row>
    <row r="26" spans="1:8" hidden="1">
      <c r="A26" s="47"/>
    </row>
    <row r="27" spans="1:8" hidden="1">
      <c r="A27" s="47"/>
    </row>
  </sheetData>
  <sheetProtection algorithmName="SHA-512" hashValue="yv0DDGfRLe+Q884enlnyfdY+78HrRviRRlTrBqI4F/RLQMVDSm+wek/OUsFQsDfooWMj1J8aWsQWRo1wO7xY1g==" saltValue="qYfRBhRuMdAtJ3ECwhrTTw==" spinCount="100000" sheet="1" objects="1" scenarios="1"/>
  <mergeCells count="7">
    <mergeCell ref="B24:C24"/>
    <mergeCell ref="B4:C4"/>
    <mergeCell ref="B10:C10"/>
    <mergeCell ref="B15:C15"/>
    <mergeCell ref="B20:C20"/>
    <mergeCell ref="B21:C21"/>
    <mergeCell ref="B22:C22"/>
  </mergeCells>
  <dataValidations count="2">
    <dataValidation type="list" allowBlank="1" showInputMessage="1" showErrorMessage="1" sqref="C6" xr:uid="{50E9A877-07F9-416C-B6E5-DB0FF4FBE992}">
      <formula1>$H$1:$H$3</formula1>
    </dataValidation>
    <dataValidation type="whole" errorStyle="warning" operator="greaterThan" allowBlank="1" showInputMessage="1" showErrorMessage="1" errorTitle="Wrong Maturity year" error="Maturity year must be strictly superior to the listing year." sqref="C8" xr:uid="{4A278107-B8BA-4DAC-9184-4979A33A99F3}">
      <formula1>C7</formula1>
    </dataValidation>
  </dataValidations>
  <hyperlinks>
    <hyperlink ref="B22:C22" r:id="rId1" display="Link to fee book 2025" xr:uid="{25E79FF6-94A0-426D-984B-95D779CB820F}"/>
    <hyperlink ref="B21:C21" r:id="rId2" display="Link to listing procedure" xr:uid="{F228095F-18E5-4E6A-883B-F09903396F8A}"/>
  </hyperlinks>
  <pageMargins left="0.7" right="0.7" top="0.75" bottom="0.75" header="0.3" footer="0.3"/>
  <pageSetup paperSize="9" orientation="portrait" r:id="rId3"/>
  <headerFooter>
    <oddFooter>&amp;C&amp;1#&amp;"Calibri"&amp;10&amp;KFFEF00PRIVATE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rgb="FFFFFF00"/>
  </sheetPr>
  <dimension ref="A1:O43"/>
  <sheetViews>
    <sheetView showGridLines="0" workbookViewId="0">
      <selection activeCell="C22" sqref="C22"/>
    </sheetView>
  </sheetViews>
  <sheetFormatPr baseColWidth="10" defaultColWidth="0" defaultRowHeight="12.75" zeroHeight="1"/>
  <cols>
    <col min="1" max="1" width="3" customWidth="1"/>
    <col min="2" max="2" width="46.7109375" customWidth="1"/>
    <col min="3" max="3" width="29.7109375" customWidth="1"/>
    <col min="4" max="5" width="11.42578125" customWidth="1"/>
    <col min="6" max="6" width="18.5703125" customWidth="1"/>
    <col min="7" max="7" width="18" customWidth="1"/>
    <col min="8" max="9" width="11.42578125" customWidth="1"/>
    <col min="10" max="10" width="34.42578125" customWidth="1"/>
    <col min="11" max="11" width="38.5703125" customWidth="1"/>
    <col min="12" max="12" width="32.5703125" customWidth="1"/>
    <col min="13" max="13" width="15.42578125" bestFit="1" customWidth="1"/>
    <col min="14" max="15" width="0" hidden="1" customWidth="1"/>
    <col min="16" max="16384" width="11.42578125" hidden="1"/>
  </cols>
  <sheetData>
    <row r="1" spans="2:13"/>
    <row r="2" spans="2:13">
      <c r="B2" s="63" t="s">
        <v>30</v>
      </c>
      <c r="C2" s="63"/>
      <c r="D2" s="63"/>
      <c r="E2" s="63"/>
    </row>
    <row r="3" spans="2:13" ht="15.75">
      <c r="B3" s="2"/>
    </row>
    <row r="4" spans="2:13"/>
    <row r="5" spans="2:13">
      <c r="B5" s="18" t="s">
        <v>5</v>
      </c>
      <c r="C5" s="29">
        <v>30600000</v>
      </c>
      <c r="L5" s="4"/>
    </row>
    <row r="6" spans="2:13">
      <c r="B6" s="18" t="s">
        <v>2</v>
      </c>
      <c r="C6" s="30" t="s">
        <v>4</v>
      </c>
    </row>
    <row r="7" spans="2:13">
      <c r="B7" s="18" t="s">
        <v>6</v>
      </c>
      <c r="C7" s="19">
        <v>2022</v>
      </c>
      <c r="M7" s="5"/>
    </row>
    <row r="8" spans="2:13">
      <c r="B8" s="18" t="s">
        <v>7</v>
      </c>
      <c r="C8" s="30">
        <v>2049</v>
      </c>
      <c r="M8" s="3"/>
    </row>
    <row r="9" spans="2:13">
      <c r="M9" s="5"/>
    </row>
    <row r="10" spans="2:13">
      <c r="M10" s="3"/>
    </row>
    <row r="11" spans="2:13">
      <c r="M11" s="3"/>
    </row>
    <row r="12" spans="2:13" hidden="1">
      <c r="M12" s="3"/>
    </row>
    <row r="13" spans="2:13" hidden="1">
      <c r="M13" s="3"/>
    </row>
    <row r="14" spans="2:13">
      <c r="B14" s="63" t="s">
        <v>23</v>
      </c>
      <c r="C14" s="63"/>
      <c r="K14" s="6"/>
      <c r="M14" s="5"/>
    </row>
    <row r="15" spans="2:13">
      <c r="M15" s="7"/>
    </row>
    <row r="16" spans="2:13">
      <c r="B16" s="20" t="s">
        <v>0</v>
      </c>
      <c r="C16" s="21">
        <f>IF(C6="Oui","",C5)</f>
        <v>30600000</v>
      </c>
    </row>
    <row r="17" spans="2:12">
      <c r="B17" s="14" t="s">
        <v>8</v>
      </c>
      <c r="C17" s="13">
        <f>IF(C6="Oui","",ROUNDUP(C5/25000000,0))</f>
        <v>2</v>
      </c>
    </row>
    <row r="18" spans="2:12">
      <c r="B18" s="14" t="s">
        <v>9</v>
      </c>
      <c r="C18" s="15">
        <f>IF(C6="Oui","",IF(C17*165&gt;4000,4000,C17*165))</f>
        <v>330</v>
      </c>
    </row>
    <row r="19" spans="2:12">
      <c r="B19" s="14" t="s">
        <v>12</v>
      </c>
      <c r="C19" s="13">
        <f>IF(C6="Oui","",C8)</f>
        <v>2049</v>
      </c>
    </row>
    <row r="20" spans="2:12">
      <c r="B20" s="14" t="s">
        <v>10</v>
      </c>
      <c r="C20" s="13">
        <f>IF(C6="Oui","",C8-C7+1)</f>
        <v>28</v>
      </c>
    </row>
    <row r="21" spans="2:12">
      <c r="B21" s="14" t="s">
        <v>21</v>
      </c>
      <c r="C21" s="15">
        <f>IF(C6="Oui","",VLOOKUP(C5,F33:I37,3))</f>
        <v>600</v>
      </c>
    </row>
    <row r="22" spans="2:12">
      <c r="B22" s="14" t="s">
        <v>11</v>
      </c>
      <c r="C22" s="15">
        <f>IF(C6="Oui","",IF(C20*C21&lt;18000-C18,C20*C21,18000-C18))</f>
        <v>16800</v>
      </c>
    </row>
    <row r="23" spans="2:12">
      <c r="B23" s="20" t="s">
        <v>1</v>
      </c>
      <c r="C23" s="24">
        <f>IF(C6="Oui","",C22+C18)</f>
        <v>17130</v>
      </c>
    </row>
    <row r="24" spans="2:12">
      <c r="C24" s="3"/>
    </row>
    <row r="25" spans="2:12">
      <c r="F25" t="s">
        <v>3</v>
      </c>
    </row>
    <row r="26" spans="2:12">
      <c r="F26" t="s">
        <v>4</v>
      </c>
    </row>
    <row r="27" spans="2:12"/>
    <row r="28" spans="2:12">
      <c r="B28" s="63" t="s">
        <v>26</v>
      </c>
      <c r="C28" s="63"/>
      <c r="K28" s="63" t="s">
        <v>27</v>
      </c>
      <c r="L28" s="63"/>
    </row>
    <row r="29" spans="2:12">
      <c r="C29" s="3"/>
      <c r="L29" s="3"/>
    </row>
    <row r="30" spans="2:12" ht="13.5">
      <c r="B30" s="20" t="s">
        <v>0</v>
      </c>
      <c r="C30" s="21" t="str">
        <f>IF(C6="Non","",C5)</f>
        <v/>
      </c>
      <c r="K30" s="22" t="s">
        <v>22</v>
      </c>
      <c r="L30" s="23" t="str">
        <f t="shared" ref="L30:L36" si="0">C30</f>
        <v/>
      </c>
    </row>
    <row r="31" spans="2:12">
      <c r="B31" s="14" t="s">
        <v>9</v>
      </c>
      <c r="C31" s="15" t="str">
        <f>IF(C6="Non","",700)</f>
        <v/>
      </c>
      <c r="K31" s="14" t="s">
        <v>18</v>
      </c>
      <c r="L31" s="41" t="str">
        <f t="shared" si="0"/>
        <v/>
      </c>
    </row>
    <row r="32" spans="2:12" ht="15.75" customHeight="1" thickBot="1">
      <c r="B32" s="14" t="s">
        <v>7</v>
      </c>
      <c r="C32" s="13" t="str">
        <f>IF(C6="Non","",C8)</f>
        <v/>
      </c>
      <c r="K32" s="14" t="s">
        <v>17</v>
      </c>
      <c r="L32" s="13" t="str">
        <f t="shared" si="0"/>
        <v/>
      </c>
    </row>
    <row r="33" spans="2:12" ht="15.75" customHeight="1">
      <c r="B33" s="14" t="s">
        <v>16</v>
      </c>
      <c r="C33" s="13" t="str">
        <f>IF(C6="Non","",C8-C7+1)</f>
        <v/>
      </c>
      <c r="F33" s="44">
        <v>0</v>
      </c>
      <c r="G33" s="45">
        <v>50000000</v>
      </c>
      <c r="H33" s="46">
        <v>600</v>
      </c>
      <c r="K33" s="14" t="s">
        <v>29</v>
      </c>
      <c r="L33" s="13" t="str">
        <f t="shared" si="0"/>
        <v/>
      </c>
    </row>
    <row r="34" spans="2:12" ht="15.75" customHeight="1">
      <c r="B34" s="14" t="s">
        <v>21</v>
      </c>
      <c r="C34" s="12" t="str">
        <f>IF(C6="Non","",VLOOKUP(C5,F33:I37,3))</f>
        <v/>
      </c>
      <c r="F34" s="8">
        <v>50000001</v>
      </c>
      <c r="G34" s="9">
        <v>100000000</v>
      </c>
      <c r="H34" s="42">
        <v>625</v>
      </c>
      <c r="K34" s="14" t="s">
        <v>19</v>
      </c>
      <c r="L34" s="41" t="str">
        <f t="shared" si="0"/>
        <v/>
      </c>
    </row>
    <row r="35" spans="2:12" ht="15.75" customHeight="1">
      <c r="B35" s="14" t="s">
        <v>11</v>
      </c>
      <c r="C35" s="15" t="str">
        <f>IF(C6="Non","",IF(C33*C34&lt;12500,C33*C34,12500))</f>
        <v/>
      </c>
      <c r="F35" s="8">
        <v>100000001</v>
      </c>
      <c r="G35" s="9">
        <v>250000000</v>
      </c>
      <c r="H35" s="42">
        <v>650</v>
      </c>
      <c r="K35" s="14" t="s">
        <v>20</v>
      </c>
      <c r="L35" s="41" t="str">
        <f t="shared" si="0"/>
        <v/>
      </c>
    </row>
    <row r="36" spans="2:12" ht="15.75" customHeight="1">
      <c r="B36" s="20" t="s">
        <v>15</v>
      </c>
      <c r="C36" s="21" t="str">
        <f>IF(C6="Non","",C31+C35)</f>
        <v/>
      </c>
      <c r="F36" s="8">
        <v>250000001</v>
      </c>
      <c r="G36" s="9">
        <v>500000000</v>
      </c>
      <c r="H36" s="42">
        <v>675</v>
      </c>
      <c r="K36" s="20" t="s">
        <v>1</v>
      </c>
      <c r="L36" s="21" t="str">
        <f t="shared" si="0"/>
        <v/>
      </c>
    </row>
    <row r="37" spans="2:12" ht="15.75" customHeight="1" thickBot="1">
      <c r="F37" s="10">
        <v>500000001</v>
      </c>
      <c r="G37" s="11"/>
      <c r="H37" s="43">
        <v>700</v>
      </c>
    </row>
    <row r="38" spans="2:12" ht="15.75" customHeight="1"/>
    <row r="39" spans="2:12" ht="15.75" customHeight="1"/>
    <row r="40" spans="2:12" ht="15.75" customHeight="1"/>
    <row r="41" spans="2:12"/>
    <row r="42" spans="2:12"/>
    <row r="43" spans="2:12"/>
  </sheetData>
  <mergeCells count="4">
    <mergeCell ref="B2:E2"/>
    <mergeCell ref="B14:C14"/>
    <mergeCell ref="B28:C28"/>
    <mergeCell ref="K28:L28"/>
  </mergeCells>
  <phoneticPr fontId="2" type="noConversion"/>
  <conditionalFormatting sqref="B5:C8 B16:C23 B30:C36 K30:L36">
    <cfRule type="cellIs" dxfId="9" priority="15" stopIfTrue="1" operator="equal">
      <formula>"Alternext"</formula>
    </cfRule>
    <cfRule type="cellIs" dxfId="8" priority="16" stopIfTrue="1" operator="equal">
      <formula>"Euronext"</formula>
    </cfRule>
  </conditionalFormatting>
  <dataValidations count="1">
    <dataValidation type="list" allowBlank="1" showInputMessage="1" showErrorMessage="1" sqref="C6" xr:uid="{00000000-0002-0000-0100-000000000000}">
      <formula1>$F$25:$F$26</formula1>
    </dataValidation>
  </dataValidations>
  <pageMargins left="0.78740157499999996" right="0.78740157499999996" top="0.984251969" bottom="0.984251969" header="0.5" footer="0.5"/>
  <pageSetup paperSize="9" orientation="portrait" r:id="rId1"/>
  <headerFooter alignWithMargins="0">
    <oddFooter>&amp;C&amp;1#&amp;"Calibri"&amp;10&amp;KFFEF00PRIVATE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tabColor theme="0" tint="-0.499984740745262"/>
  </sheetPr>
  <dimension ref="A1:D21"/>
  <sheetViews>
    <sheetView showGridLines="0" topLeftCell="A2" zoomScale="130" zoomScaleNormal="130" workbookViewId="0">
      <selection activeCell="B8" sqref="B8"/>
    </sheetView>
  </sheetViews>
  <sheetFormatPr baseColWidth="10" defaultColWidth="0" defaultRowHeight="12.75" zeroHeight="1"/>
  <cols>
    <col min="1" max="1" width="60.28515625" customWidth="1"/>
    <col min="2" max="3" width="17.85546875" customWidth="1"/>
    <col min="4" max="4" width="11.42578125" customWidth="1"/>
    <col min="5" max="16384" width="11.42578125" hidden="1"/>
  </cols>
  <sheetData>
    <row r="1" spans="1:3"/>
    <row r="2" spans="1:3">
      <c r="A2" s="63" t="s">
        <v>31</v>
      </c>
      <c r="B2" s="63"/>
      <c r="C2" s="63"/>
    </row>
    <row r="3" spans="1:3"/>
    <row r="4" spans="1:3">
      <c r="A4" s="35" t="s">
        <v>13</v>
      </c>
      <c r="B4" s="36">
        <v>18900000</v>
      </c>
    </row>
    <row r="5" spans="1:3">
      <c r="A5" s="37" t="s">
        <v>14</v>
      </c>
      <c r="B5" s="38">
        <v>10</v>
      </c>
    </row>
    <row r="6" spans="1:3">
      <c r="A6" s="39" t="s">
        <v>37</v>
      </c>
      <c r="B6" s="40">
        <v>20000</v>
      </c>
    </row>
    <row r="7" spans="1:3">
      <c r="A7" s="39" t="s">
        <v>0</v>
      </c>
      <c r="B7" s="40">
        <f>B4*B5</f>
        <v>189000000</v>
      </c>
    </row>
    <row r="8" spans="1:3">
      <c r="A8" s="33" t="s">
        <v>28</v>
      </c>
      <c r="B8" s="34">
        <f>IF(SUM(C11:C17)+B6&gt;=2500000,2500000,SUM(C11:C17)+B6)</f>
        <v>139120</v>
      </c>
    </row>
    <row r="9" spans="1:3"/>
    <row r="10" spans="1:3"/>
    <row r="11" spans="1:3">
      <c r="A11" s="14" t="s">
        <v>32</v>
      </c>
      <c r="B11" s="17">
        <f>IF($B$7&lt;=50000000,1,0)</f>
        <v>0</v>
      </c>
      <c r="C11" s="16">
        <f>IF(B11=1,0.07%*B7,0)</f>
        <v>0</v>
      </c>
    </row>
    <row r="12" spans="1:3">
      <c r="A12" s="14" t="s">
        <v>33</v>
      </c>
      <c r="B12" s="17">
        <f>IF(AND($B$7&gt;50000000,$B$7&lt;=100000000),1,0)</f>
        <v>0</v>
      </c>
      <c r="C12" s="16">
        <f>IF(B12=1,(B7-50000000)*0.65/1000+35000,0)</f>
        <v>0</v>
      </c>
    </row>
    <row r="13" spans="1:3">
      <c r="A13" s="14" t="s">
        <v>34</v>
      </c>
      <c r="B13" s="17">
        <f>IF(AND($B$7&gt;100000000,$B$7&lt;=200000000),1,0)</f>
        <v>1</v>
      </c>
      <c r="C13" s="16">
        <f>IF(B13=1,(B7-100000000)*0.58/1000+67500,0)</f>
        <v>119120</v>
      </c>
    </row>
    <row r="14" spans="1:3">
      <c r="A14" s="14" t="s">
        <v>35</v>
      </c>
      <c r="B14" s="17">
        <f>IF(AND($B$7&gt;200000001,$B$7&lt;=500000000),1,0)</f>
        <v>0</v>
      </c>
      <c r="C14" s="16">
        <f>IF(B14=1,(B7-200000000)*0.47/1000+125500,0)</f>
        <v>0</v>
      </c>
    </row>
    <row r="15" spans="1:3">
      <c r="A15" s="14" t="s">
        <v>36</v>
      </c>
      <c r="B15" s="17">
        <f>IF(AND($B$7&gt;500000001,$B$7&lt;=1000000000),1,0)</f>
        <v>0</v>
      </c>
      <c r="C15" s="16">
        <f>IF(B15=1,(B7-500000000)*0.35/1000+266500,0)</f>
        <v>0</v>
      </c>
    </row>
    <row r="16" spans="1:3">
      <c r="A16" s="14" t="s">
        <v>58</v>
      </c>
      <c r="B16" s="17">
        <f>IF(AND($B$7&gt;1000000001,$B$7&lt;=2500000000),1,0)</f>
        <v>0</v>
      </c>
      <c r="C16" s="16">
        <f>IF(B16=1,(B7-1000000000)*0.23/1000+441500,0)</f>
        <v>0</v>
      </c>
    </row>
    <row r="17" spans="1:3">
      <c r="A17" s="14" t="s">
        <v>59</v>
      </c>
      <c r="B17" s="17">
        <f>IF($B$7&gt;2500000000,1,0)</f>
        <v>0</v>
      </c>
      <c r="C17" s="16">
        <f>IF(B17=1,(B7-5000000000)*0.12/1000+1361500,0)</f>
        <v>0</v>
      </c>
    </row>
    <row r="18" spans="1:3"/>
    <row r="19" spans="1:3"/>
    <row r="20" spans="1:3"/>
    <row r="21" spans="1:3">
      <c r="A21" s="1"/>
    </row>
  </sheetData>
  <mergeCells count="1">
    <mergeCell ref="A2:C2"/>
  </mergeCells>
  <phoneticPr fontId="2" type="noConversion"/>
  <conditionalFormatting sqref="A4:B8">
    <cfRule type="cellIs" dxfId="7" priority="9" stopIfTrue="1" operator="equal">
      <formula>"Alternext"</formula>
    </cfRule>
    <cfRule type="cellIs" dxfId="6" priority="10" stopIfTrue="1" operator="equal">
      <formula>"Euronext"</formula>
    </cfRule>
  </conditionalFormatting>
  <conditionalFormatting sqref="A11:C17">
    <cfRule type="cellIs" dxfId="5" priority="1" stopIfTrue="1" operator="equal">
      <formula>"Alternext"</formula>
    </cfRule>
    <cfRule type="cellIs" dxfId="4" priority="2" stopIfTrue="1" operator="equal">
      <formula>"Euronext"</formula>
    </cfRule>
  </conditionalFormatting>
  <pageMargins left="0.78740157499999996" right="0.78740157499999996" top="0.984251969" bottom="0.984251969" header="0.5" footer="0.5"/>
  <pageSetup paperSize="9" orientation="portrait" r:id="rId1"/>
  <headerFooter alignWithMargins="0">
    <oddFooter>&amp;C&amp;1#&amp;"Calibri"&amp;10&amp;KFFEF00PRIVATE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tabColor rgb="FF00B0F0"/>
  </sheetPr>
  <dimension ref="A1:F42"/>
  <sheetViews>
    <sheetView zoomScaleNormal="100" workbookViewId="0">
      <selection activeCell="D19" sqref="D19"/>
    </sheetView>
  </sheetViews>
  <sheetFormatPr baseColWidth="10" defaultColWidth="0" defaultRowHeight="15" customHeight="1" zeroHeight="1"/>
  <cols>
    <col min="1" max="1" width="19.140625" style="32" customWidth="1"/>
    <col min="2" max="3" width="19.140625" style="26" customWidth="1"/>
    <col min="4" max="4" width="31.140625" style="26" customWidth="1"/>
    <col min="5" max="6" width="19.140625" style="26" customWidth="1"/>
    <col min="7" max="16384" width="19.140625" style="26" hidden="1"/>
  </cols>
  <sheetData>
    <row r="1" spans="1:5" ht="15" customHeight="1">
      <c r="A1" s="31">
        <f>E8</f>
        <v>43563</v>
      </c>
    </row>
    <row r="2" spans="1:5" ht="15" customHeight="1">
      <c r="A2" s="31">
        <f>A1+1</f>
        <v>43564</v>
      </c>
    </row>
    <row r="3" spans="1:5" ht="15" customHeight="1">
      <c r="A3" s="31">
        <f>A2+1</f>
        <v>43565</v>
      </c>
    </row>
    <row r="4" spans="1:5" ht="15" customHeight="1">
      <c r="A4" s="31">
        <f>A3+1</f>
        <v>43566</v>
      </c>
    </row>
    <row r="5" spans="1:5" ht="15" customHeight="1">
      <c r="A5" s="31">
        <f t="shared" ref="A5:A41" si="0">A4+1</f>
        <v>43567</v>
      </c>
    </row>
    <row r="6" spans="1:5" ht="15" customHeight="1">
      <c r="A6" s="31">
        <f t="shared" si="0"/>
        <v>43568</v>
      </c>
    </row>
    <row r="7" spans="1:5" ht="15" customHeight="1">
      <c r="A7" s="31">
        <f t="shared" si="0"/>
        <v>43569</v>
      </c>
    </row>
    <row r="8" spans="1:5" ht="15" customHeight="1">
      <c r="A8" s="31">
        <f t="shared" si="0"/>
        <v>43570</v>
      </c>
      <c r="D8" s="27" t="s">
        <v>24</v>
      </c>
      <c r="E8" s="28">
        <v>43563</v>
      </c>
    </row>
    <row r="9" spans="1:5" ht="15" customHeight="1">
      <c r="A9" s="31">
        <f t="shared" si="0"/>
        <v>43571</v>
      </c>
      <c r="D9" s="27" t="s">
        <v>25</v>
      </c>
      <c r="E9" s="25">
        <f>A41</f>
        <v>43603</v>
      </c>
    </row>
    <row r="10" spans="1:5" ht="15" customHeight="1">
      <c r="A10" s="31">
        <f t="shared" si="0"/>
        <v>43572</v>
      </c>
    </row>
    <row r="11" spans="1:5" ht="15" customHeight="1">
      <c r="A11" s="31">
        <f t="shared" si="0"/>
        <v>43573</v>
      </c>
    </row>
    <row r="12" spans="1:5" ht="15" customHeight="1">
      <c r="A12" s="31">
        <f t="shared" si="0"/>
        <v>43574</v>
      </c>
    </row>
    <row r="13" spans="1:5" ht="15" customHeight="1">
      <c r="A13" s="31">
        <f t="shared" si="0"/>
        <v>43575</v>
      </c>
    </row>
    <row r="14" spans="1:5" ht="15" customHeight="1">
      <c r="A14" s="31">
        <f t="shared" si="0"/>
        <v>43576</v>
      </c>
    </row>
    <row r="15" spans="1:5" ht="15" customHeight="1">
      <c r="A15" s="31">
        <f t="shared" si="0"/>
        <v>43577</v>
      </c>
    </row>
    <row r="16" spans="1:5" ht="15" customHeight="1">
      <c r="A16" s="31">
        <f t="shared" si="0"/>
        <v>43578</v>
      </c>
    </row>
    <row r="17" spans="1:1" ht="15" customHeight="1">
      <c r="A17" s="31">
        <f t="shared" si="0"/>
        <v>43579</v>
      </c>
    </row>
    <row r="18" spans="1:1" ht="15" customHeight="1">
      <c r="A18" s="31">
        <f t="shared" si="0"/>
        <v>43580</v>
      </c>
    </row>
    <row r="19" spans="1:1" ht="15" customHeight="1">
      <c r="A19" s="31">
        <f t="shared" si="0"/>
        <v>43581</v>
      </c>
    </row>
    <row r="20" spans="1:1" ht="15" customHeight="1">
      <c r="A20" s="31">
        <f t="shared" si="0"/>
        <v>43582</v>
      </c>
    </row>
    <row r="21" spans="1:1" ht="15" customHeight="1">
      <c r="A21" s="31">
        <f t="shared" si="0"/>
        <v>43583</v>
      </c>
    </row>
    <row r="22" spans="1:1" ht="15" customHeight="1">
      <c r="A22" s="31">
        <f t="shared" si="0"/>
        <v>43584</v>
      </c>
    </row>
    <row r="23" spans="1:1" ht="15" customHeight="1">
      <c r="A23" s="31">
        <f t="shared" si="0"/>
        <v>43585</v>
      </c>
    </row>
    <row r="24" spans="1:1" ht="15" customHeight="1">
      <c r="A24" s="31">
        <f t="shared" si="0"/>
        <v>43586</v>
      </c>
    </row>
    <row r="25" spans="1:1" ht="15" customHeight="1">
      <c r="A25" s="31">
        <f t="shared" si="0"/>
        <v>43587</v>
      </c>
    </row>
    <row r="26" spans="1:1" ht="15" customHeight="1">
      <c r="A26" s="31">
        <f t="shared" si="0"/>
        <v>43588</v>
      </c>
    </row>
    <row r="27" spans="1:1" ht="15" customHeight="1">
      <c r="A27" s="31">
        <f t="shared" si="0"/>
        <v>43589</v>
      </c>
    </row>
    <row r="28" spans="1:1" ht="15" customHeight="1">
      <c r="A28" s="31">
        <f t="shared" si="0"/>
        <v>43590</v>
      </c>
    </row>
    <row r="29" spans="1:1" ht="15" customHeight="1">
      <c r="A29" s="31">
        <f t="shared" si="0"/>
        <v>43591</v>
      </c>
    </row>
    <row r="30" spans="1:1" ht="15" customHeight="1">
      <c r="A30" s="31">
        <f t="shared" si="0"/>
        <v>43592</v>
      </c>
    </row>
    <row r="31" spans="1:1" ht="15" customHeight="1">
      <c r="A31" s="31">
        <f t="shared" si="0"/>
        <v>43593</v>
      </c>
    </row>
    <row r="32" spans="1:1" ht="15" customHeight="1">
      <c r="A32" s="31">
        <f t="shared" si="0"/>
        <v>43594</v>
      </c>
    </row>
    <row r="33" spans="1:1" ht="15" customHeight="1">
      <c r="A33" s="31">
        <f t="shared" si="0"/>
        <v>43595</v>
      </c>
    </row>
    <row r="34" spans="1:1" ht="15" customHeight="1">
      <c r="A34" s="31">
        <f t="shared" si="0"/>
        <v>43596</v>
      </c>
    </row>
    <row r="35" spans="1:1" ht="15" customHeight="1">
      <c r="A35" s="31">
        <f t="shared" si="0"/>
        <v>43597</v>
      </c>
    </row>
    <row r="36" spans="1:1" ht="15" customHeight="1">
      <c r="A36" s="31">
        <f t="shared" si="0"/>
        <v>43598</v>
      </c>
    </row>
    <row r="37" spans="1:1" ht="15" customHeight="1">
      <c r="A37" s="31">
        <f t="shared" si="0"/>
        <v>43599</v>
      </c>
    </row>
    <row r="38" spans="1:1" ht="15" customHeight="1">
      <c r="A38" s="31">
        <f t="shared" si="0"/>
        <v>43600</v>
      </c>
    </row>
    <row r="39" spans="1:1" ht="15" customHeight="1">
      <c r="A39" s="31">
        <f t="shared" si="0"/>
        <v>43601</v>
      </c>
    </row>
    <row r="40" spans="1:1" ht="15" customHeight="1">
      <c r="A40" s="31">
        <f t="shared" si="0"/>
        <v>43602</v>
      </c>
    </row>
    <row r="41" spans="1:1" ht="15" customHeight="1">
      <c r="A41" s="31">
        <f t="shared" si="0"/>
        <v>43603</v>
      </c>
    </row>
    <row r="42" spans="1:1" ht="15" customHeight="1"/>
  </sheetData>
  <conditionalFormatting sqref="A1:A41">
    <cfRule type="cellIs" dxfId="3" priority="1" stopIfTrue="1" operator="equal">
      <formula>"Alternext"</formula>
    </cfRule>
    <cfRule type="cellIs" dxfId="2" priority="2" stopIfTrue="1" operator="equal">
      <formula>"Euronext"</formula>
    </cfRule>
  </conditionalFormatting>
  <conditionalFormatting sqref="D8:E9">
    <cfRule type="cellIs" dxfId="1" priority="3" stopIfTrue="1" operator="equal">
      <formula>"Alternext"</formula>
    </cfRule>
    <cfRule type="cellIs" dxfId="0" priority="4" stopIfTrue="1" operator="equal">
      <formula>"Euronext"</formula>
    </cfRule>
  </conditionalFormatting>
  <pageMargins left="0.7" right="0.7" top="0.75" bottom="0.75" header="0.3" footer="0.3"/>
  <pageSetup paperSize="9" orientation="portrait" r:id="rId1"/>
  <headerFooter>
    <oddFooter>&amp;C&amp;1#&amp;"Calibri"&amp;10&amp;KFFEF00PRIVATE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94283A991E06489179F4BAF97A4721" ma:contentTypeVersion="19" ma:contentTypeDescription="Create a new document." ma:contentTypeScope="" ma:versionID="5990917e0597b182f7c54167ed152fc7">
  <xsd:schema xmlns:xsd="http://www.w3.org/2001/XMLSchema" xmlns:xs="http://www.w3.org/2001/XMLSchema" xmlns:p="http://schemas.microsoft.com/office/2006/metadata/properties" xmlns:ns2="d1b76904-ca03-4d86-829a-42c0191bd825" xmlns:ns3="ade45116-747a-4090-a113-950f4e8274b3" xmlns:ns4="0343b13d-2c7e-4bca-a01f-586155efdf89" targetNamespace="http://schemas.microsoft.com/office/2006/metadata/properties" ma:root="true" ma:fieldsID="6be338a1fe5f518d686ac70a9b4f6d78" ns2:_="" ns3:_="" ns4:_="">
    <xsd:import namespace="d1b76904-ca03-4d86-829a-42c0191bd825"/>
    <xsd:import namespace="ade45116-747a-4090-a113-950f4e8274b3"/>
    <xsd:import namespace="0343b13d-2c7e-4bca-a01f-586155efdf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b76904-ca03-4d86-829a-42c0191bd8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6448b7c-b198-4f3f-91b4-0f03f23d7c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4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e45116-747a-4090-a113-950f4e8274b3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e1230945-92fe-45a5-ad55-4ee38836f554}" ma:internalName="TaxCatchAll" ma:showField="CatchAllData" ma:web="ade45116-747a-4090-a113-950f4e8274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43b13d-2c7e-4bca-a01f-586155efdf89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1b76904-ca03-4d86-829a-42c0191bd825">
      <Terms xmlns="http://schemas.microsoft.com/office/infopath/2007/PartnerControls"/>
    </lcf76f155ced4ddcb4097134ff3c332f>
    <TaxCatchAll xmlns="ade45116-747a-4090-a113-950f4e8274b3" xsi:nil="true"/>
    <_Flow_SignoffStatus xmlns="d1b76904-ca03-4d86-829a-42c0191bd825" xsi:nil="true"/>
  </documentManagement>
</p:properties>
</file>

<file path=customXml/itemProps1.xml><?xml version="1.0" encoding="utf-8"?>
<ds:datastoreItem xmlns:ds="http://schemas.openxmlformats.org/officeDocument/2006/customXml" ds:itemID="{3E183814-153D-44F5-A7D6-10EBC6760BCE}"/>
</file>

<file path=customXml/itemProps2.xml><?xml version="1.0" encoding="utf-8"?>
<ds:datastoreItem xmlns:ds="http://schemas.openxmlformats.org/officeDocument/2006/customXml" ds:itemID="{FC2C31C0-2DD7-4037-8373-F746DC4E48A9}"/>
</file>

<file path=customXml/itemProps3.xml><?xml version="1.0" encoding="utf-8"?>
<ds:datastoreItem xmlns:ds="http://schemas.openxmlformats.org/officeDocument/2006/customXml" ds:itemID="{F2457BB5-E84D-425C-8BFE-BEBF7C087B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Bonds Listing Fee Pricer</vt:lpstr>
      <vt:lpstr>BONDS - Listing fees</vt:lpstr>
      <vt:lpstr>IPO - Fees</vt:lpstr>
      <vt:lpstr>Assimilation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f.martineau</dc:creator>
  <cp:lastModifiedBy>Carole Huguet</cp:lastModifiedBy>
  <cp:lastPrinted>2014-04-17T08:41:14Z</cp:lastPrinted>
  <dcterms:created xsi:type="dcterms:W3CDTF">2010-06-10T14:15:45Z</dcterms:created>
  <dcterms:modified xsi:type="dcterms:W3CDTF">2025-01-14T14:40:16Z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c0b9ce6-6e99-42a1-af95-429494370cbc_Enabled">
    <vt:lpwstr>true</vt:lpwstr>
  </property>
  <property fmtid="{D5CDD505-2E9C-101B-9397-08002B2CF9AE}" pid="3" name="MSIP_Label_ac0b9ce6-6e99-42a1-af95-429494370cbc_SetDate">
    <vt:lpwstr>2023-02-01T17:16:32Z</vt:lpwstr>
  </property>
  <property fmtid="{D5CDD505-2E9C-101B-9397-08002B2CF9AE}" pid="4" name="MSIP_Label_ac0b9ce6-6e99-42a1-af95-429494370cbc_Method">
    <vt:lpwstr>Standard</vt:lpwstr>
  </property>
  <property fmtid="{D5CDD505-2E9C-101B-9397-08002B2CF9AE}" pid="5" name="MSIP_Label_ac0b9ce6-6e99-42a1-af95-429494370cbc_Name">
    <vt:lpwstr>ac0b9ce6-6e99-42a1-af95-429494370cbc</vt:lpwstr>
  </property>
  <property fmtid="{D5CDD505-2E9C-101B-9397-08002B2CF9AE}" pid="6" name="MSIP_Label_ac0b9ce6-6e99-42a1-af95-429494370cbc_SiteId">
    <vt:lpwstr>315b1ee5-c224-498b-871e-c140611d6d07</vt:lpwstr>
  </property>
  <property fmtid="{D5CDD505-2E9C-101B-9397-08002B2CF9AE}" pid="7" name="MSIP_Label_ac0b9ce6-6e99-42a1-af95-429494370cbc_ActionId">
    <vt:lpwstr>805c23fe-aa33-4233-bb91-f66d8d171a62</vt:lpwstr>
  </property>
  <property fmtid="{D5CDD505-2E9C-101B-9397-08002B2CF9AE}" pid="8" name="MSIP_Label_ac0b9ce6-6e99-42a1-af95-429494370cbc_ContentBits">
    <vt:lpwstr>2</vt:lpwstr>
  </property>
  <property fmtid="{D5CDD505-2E9C-101B-9397-08002B2CF9AE}" pid="9" name="ContentTypeId">
    <vt:lpwstr>0x010100E194283A991E06489179F4BAF97A4721</vt:lpwstr>
  </property>
</Properties>
</file>